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wmuir83/Downloads/"/>
    </mc:Choice>
  </mc:AlternateContent>
  <xr:revisionPtr revIDLastSave="0" documentId="8_{B581BF75-96DC-0142-A4F2-1B5C1CADE323}" xr6:coauthVersionLast="47" xr6:coauthVersionMax="47" xr10:uidLastSave="{00000000-0000-0000-0000-000000000000}"/>
  <bookViews>
    <workbookView xWindow="0" yWindow="760" windowWidth="25820" windowHeight="15500" activeTab="3" xr2:uid="{F5B67C3E-26D8-4459-BAB7-E6F1C7B55C50}"/>
  </bookViews>
  <sheets>
    <sheet name="Property" sheetId="1" r:id="rId1"/>
    <sheet name="Projection" sheetId="2" r:id="rId2"/>
    <sheet name="Detail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3" l="1"/>
  <c r="F43" i="3"/>
  <c r="F6" i="3"/>
  <c r="F5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41" i="3" l="1"/>
  <c r="H4" i="3"/>
  <c r="D17" i="2"/>
  <c r="D52" i="2"/>
  <c r="D53" i="2" s="1"/>
  <c r="D55" i="2" s="1"/>
  <c r="D56" i="2" s="1"/>
  <c r="H6" i="3"/>
  <c r="H41" i="3" s="1"/>
  <c r="D40" i="3"/>
  <c r="C40" i="3"/>
  <c r="D39" i="3"/>
  <c r="C39" i="3"/>
  <c r="D38" i="3"/>
  <c r="C38" i="3"/>
  <c r="D37" i="3"/>
  <c r="C37" i="3"/>
  <c r="C36" i="3"/>
  <c r="E36" i="3" s="1"/>
  <c r="H36" i="3" s="1"/>
  <c r="D35" i="3"/>
  <c r="E35" i="3" s="1"/>
  <c r="D34" i="3"/>
  <c r="E34" i="3" s="1"/>
  <c r="D33" i="3"/>
  <c r="E33" i="3" s="1"/>
  <c r="D32" i="3"/>
  <c r="E32" i="3" s="1"/>
  <c r="H32" i="3" s="1"/>
  <c r="D31" i="3"/>
  <c r="E31" i="3" s="1"/>
  <c r="H31" i="3" s="1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E24" i="3" s="1"/>
  <c r="H24" i="3" s="1"/>
  <c r="D23" i="3"/>
  <c r="D22" i="3"/>
  <c r="D21" i="3"/>
  <c r="C23" i="3"/>
  <c r="C22" i="3"/>
  <c r="C21" i="3"/>
  <c r="C20" i="3"/>
  <c r="D20" i="3"/>
  <c r="C19" i="3"/>
  <c r="E19" i="3" s="1"/>
  <c r="D18" i="3"/>
  <c r="E18" i="3" s="1"/>
  <c r="D17" i="3"/>
  <c r="E17" i="3" s="1"/>
  <c r="D16" i="3"/>
  <c r="E16" i="3" s="1"/>
  <c r="H16" i="3" s="1"/>
  <c r="D15" i="3"/>
  <c r="E15" i="3" s="1"/>
  <c r="H15" i="3" s="1"/>
  <c r="D14" i="3"/>
  <c r="E14" i="3" s="1"/>
  <c r="D13" i="3"/>
  <c r="D12" i="3"/>
  <c r="D11" i="3"/>
  <c r="D10" i="3"/>
  <c r="D9" i="3"/>
  <c r="D8" i="3"/>
  <c r="C13" i="3"/>
  <c r="C12" i="3"/>
  <c r="C11" i="3"/>
  <c r="C10" i="3"/>
  <c r="C9" i="3"/>
  <c r="C8" i="3"/>
  <c r="D7" i="3"/>
  <c r="C7" i="3"/>
  <c r="H17" i="3" l="1"/>
  <c r="H19" i="3"/>
  <c r="H18" i="3"/>
  <c r="H33" i="3"/>
  <c r="H34" i="3"/>
  <c r="H14" i="3"/>
  <c r="H35" i="3"/>
  <c r="E39" i="3"/>
  <c r="H39" i="3" s="1"/>
  <c r="E13" i="3"/>
  <c r="H13" i="3" s="1"/>
  <c r="E25" i="3"/>
  <c r="H25" i="3" s="1"/>
  <c r="E29" i="3"/>
  <c r="H29" i="3" s="1"/>
  <c r="E7" i="3"/>
  <c r="H7" i="3" s="1"/>
  <c r="E37" i="3"/>
  <c r="H37" i="3" s="1"/>
  <c r="E21" i="3"/>
  <c r="H21" i="3" s="1"/>
  <c r="E10" i="3"/>
  <c r="H10" i="3" s="1"/>
  <c r="E20" i="3"/>
  <c r="H20" i="3" s="1"/>
  <c r="E22" i="3"/>
  <c r="H22" i="3" s="1"/>
  <c r="E38" i="3"/>
  <c r="H38" i="3" s="1"/>
  <c r="E11" i="3"/>
  <c r="H11" i="3" s="1"/>
  <c r="E23" i="3"/>
  <c r="H23" i="3" s="1"/>
  <c r="E30" i="3"/>
  <c r="H30" i="3" s="1"/>
  <c r="E12" i="3"/>
  <c r="H12" i="3" s="1"/>
  <c r="E8" i="3"/>
  <c r="E40" i="3"/>
  <c r="H40" i="3" s="1"/>
  <c r="E9" i="3"/>
  <c r="H9" i="3" s="1"/>
  <c r="E28" i="3"/>
  <c r="H28" i="3" s="1"/>
  <c r="E27" i="3"/>
  <c r="H27" i="3" s="1"/>
  <c r="E26" i="3"/>
  <c r="H26" i="3" s="1"/>
  <c r="D40" i="2"/>
  <c r="B26" i="2"/>
  <c r="D26" i="2" s="1"/>
  <c r="D27" i="2" s="1"/>
  <c r="D25" i="2"/>
  <c r="D16" i="2"/>
  <c r="B3" i="2"/>
  <c r="D4" i="2" s="1"/>
  <c r="D5" i="2" s="1"/>
  <c r="H8" i="3" l="1"/>
  <c r="H5" i="3" s="1"/>
  <c r="D18" i="2"/>
  <c r="D28" i="2"/>
  <c r="D29" i="2" s="1"/>
  <c r="D43" i="2" s="1"/>
  <c r="D45" i="2" s="1"/>
  <c r="B8" i="2"/>
  <c r="D13" i="2" s="1"/>
  <c r="D20" i="2" l="1"/>
</calcChain>
</file>

<file path=xl/sharedStrings.xml><?xml version="1.0" encoding="utf-8"?>
<sst xmlns="http://schemas.openxmlformats.org/spreadsheetml/2006/main" count="146" uniqueCount="93">
  <si>
    <t>Project Snapshot</t>
  </si>
  <si>
    <t>Address</t>
  </si>
  <si>
    <t>Sponsor</t>
  </si>
  <si>
    <t>Land Area</t>
  </si>
  <si>
    <r>
      <t>NW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Ave, Miami, FL 33128 </t>
    </r>
  </si>
  <si>
    <t>Miami Dade Bar Association</t>
  </si>
  <si>
    <t>Avg Rent/SF</t>
  </si>
  <si>
    <t>Building Rehab</t>
  </si>
  <si>
    <t>Hard Costs</t>
  </si>
  <si>
    <t>Rehab</t>
  </si>
  <si>
    <t>per GSF</t>
  </si>
  <si>
    <t>Soft Costs</t>
  </si>
  <si>
    <t>Contingency</t>
  </si>
  <si>
    <t>Architect</t>
  </si>
  <si>
    <t>Engineer</t>
  </si>
  <si>
    <t>Taxes</t>
  </si>
  <si>
    <t>Financing Fees and Costs</t>
  </si>
  <si>
    <t>Closing Costs</t>
  </si>
  <si>
    <t>Interest Expense</t>
  </si>
  <si>
    <t>Total Project Budget</t>
  </si>
  <si>
    <t>Total Soft Costs</t>
  </si>
  <si>
    <t>Total Hard Costs</t>
  </si>
  <si>
    <t>Total Financing Costs</t>
  </si>
  <si>
    <t>Attorney Fees</t>
  </si>
  <si>
    <t>Insurance</t>
  </si>
  <si>
    <t>Revenue</t>
  </si>
  <si>
    <t>Retail</t>
  </si>
  <si>
    <t>Commercial</t>
  </si>
  <si>
    <t>Additional Rev</t>
  </si>
  <si>
    <t>Less Vacancy</t>
  </si>
  <si>
    <t>Operating Expenses</t>
  </si>
  <si>
    <t>Real Estate Taxes</t>
  </si>
  <si>
    <t>Utilities</t>
  </si>
  <si>
    <t>Cleaning</t>
  </si>
  <si>
    <t>Maintenance</t>
  </si>
  <si>
    <t>Security</t>
  </si>
  <si>
    <t>Administrative</t>
  </si>
  <si>
    <t>Management</t>
  </si>
  <si>
    <t>Total Revenue</t>
  </si>
  <si>
    <t>Total Operating Expenses</t>
  </si>
  <si>
    <t>Net Operating Income</t>
  </si>
  <si>
    <t>Cap Rate</t>
  </si>
  <si>
    <t>Valuation</t>
  </si>
  <si>
    <t xml:space="preserve">Valuation </t>
  </si>
  <si>
    <t>NRSF</t>
  </si>
  <si>
    <t>Width</t>
  </si>
  <si>
    <t>Depth</t>
  </si>
  <si>
    <t>Sqft</t>
  </si>
  <si>
    <t>Office 1</t>
  </si>
  <si>
    <t>Office 2</t>
  </si>
  <si>
    <t>Office 3</t>
  </si>
  <si>
    <t>Office 4</t>
  </si>
  <si>
    <t>Office 5</t>
  </si>
  <si>
    <t>Office 6</t>
  </si>
  <si>
    <t>Office 7</t>
  </si>
  <si>
    <t>Office 8</t>
  </si>
  <si>
    <t>Office 9</t>
  </si>
  <si>
    <t>Office 10</t>
  </si>
  <si>
    <t>Office 11</t>
  </si>
  <si>
    <t>Office 12</t>
  </si>
  <si>
    <t>Office 13</t>
  </si>
  <si>
    <t>Office 14</t>
  </si>
  <si>
    <t>Office 15</t>
  </si>
  <si>
    <t>Office 16</t>
  </si>
  <si>
    <t>Office 17</t>
  </si>
  <si>
    <t>Level 2</t>
  </si>
  <si>
    <t>Level 3</t>
  </si>
  <si>
    <t>Level 1</t>
  </si>
  <si>
    <t>Principal</t>
  </si>
  <si>
    <t>Interest Rate</t>
  </si>
  <si>
    <t>Amortization</t>
  </si>
  <si>
    <t>years</t>
  </si>
  <si>
    <t>Payment</t>
  </si>
  <si>
    <t>Annual</t>
  </si>
  <si>
    <t>Premium:</t>
  </si>
  <si>
    <t>Level 4</t>
  </si>
  <si>
    <t>Membership Virtual</t>
  </si>
  <si>
    <t>Co-Work Rent</t>
  </si>
  <si>
    <t>Quantity:</t>
  </si>
  <si>
    <t>Market Rent</t>
  </si>
  <si>
    <t>Upsell Conf etc</t>
  </si>
  <si>
    <t>Gables Executive Offices</t>
  </si>
  <si>
    <t>10 x 15</t>
  </si>
  <si>
    <t>Esquire Suites</t>
  </si>
  <si>
    <t>1100- 2100</t>
  </si>
  <si>
    <t>G Space Offices</t>
  </si>
  <si>
    <t>1500-1800 + tax</t>
  </si>
  <si>
    <t>Net Cash Flow (after Debt Service)</t>
  </si>
  <si>
    <t>Monthly</t>
  </si>
  <si>
    <t>Mo. Rent</t>
  </si>
  <si>
    <t>Per Month</t>
  </si>
  <si>
    <t>Per Year</t>
  </si>
  <si>
    <t>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</si>
</sst>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&quot; SF&quot;"/>
    <numFmt numFmtId="166" formatCode="_(&quot;$&quot;* #,##0_);_(&quot;$&quot;* \(#,##0\);_(&quot;$&quot;* &quot;-&quot;??_);_(@_)"/>
    <numFmt numFmtId="167" formatCode="0,000&quot; SF&quot;"/>
    <numFmt numFmtId="168" formatCode="0,000&quot; NSF&quot;"/>
    <numFmt numFmtId="169" formatCode="0.0"/>
    <numFmt numFmtId="170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2" fillId="3" borderId="3" xfId="0" applyFont="1" applyFill="1" applyBorder="1"/>
    <xf numFmtId="0" fontId="0" fillId="0" borderId="4" xfId="0" applyBorder="1" applyAlignment="1">
      <alignment horizontal="left" indent="1"/>
    </xf>
    <xf numFmtId="164" fontId="0" fillId="0" borderId="4" xfId="1" applyNumberFormat="1" applyFont="1" applyBorder="1" applyAlignment="1">
      <alignment horizontal="left" indent="1"/>
    </xf>
    <xf numFmtId="0" fontId="2" fillId="3" borderId="5" xfId="0" applyFont="1" applyFill="1" applyBorder="1"/>
    <xf numFmtId="44" fontId="0" fillId="0" borderId="6" xfId="2" applyFont="1" applyBorder="1" applyAlignment="1">
      <alignment horizontal="right" indent="1"/>
    </xf>
    <xf numFmtId="164" fontId="0" fillId="0" borderId="0" xfId="0" applyNumberFormat="1"/>
    <xf numFmtId="0" fontId="0" fillId="0" borderId="0" xfId="0" applyAlignment="1">
      <alignment horizontal="center"/>
    </xf>
    <xf numFmtId="166" fontId="0" fillId="0" borderId="0" xfId="2" applyNumberFormat="1" applyFont="1"/>
    <xf numFmtId="9" fontId="0" fillId="0" borderId="0" xfId="0" applyNumberFormat="1"/>
    <xf numFmtId="0" fontId="0" fillId="2" borderId="0" xfId="0" applyFill="1"/>
    <xf numFmtId="167" fontId="0" fillId="0" borderId="0" xfId="0" applyNumberFormat="1"/>
    <xf numFmtId="166" fontId="0" fillId="0" borderId="0" xfId="2" applyNumberFormat="1" applyFont="1" applyBorder="1" applyAlignment="1">
      <alignment horizontal="center"/>
    </xf>
    <xf numFmtId="166" fontId="0" fillId="0" borderId="0" xfId="2" applyNumberFormat="1" applyFont="1" applyBorder="1"/>
    <xf numFmtId="165" fontId="0" fillId="0" borderId="0" xfId="0" applyNumberFormat="1"/>
    <xf numFmtId="166" fontId="0" fillId="2" borderId="0" xfId="2" applyNumberFormat="1" applyFont="1" applyFill="1" applyBorder="1"/>
    <xf numFmtId="166" fontId="0" fillId="2" borderId="0" xfId="0" applyNumberFormat="1" applyFill="1"/>
    <xf numFmtId="0" fontId="0" fillId="0" borderId="7" xfId="0" applyBorder="1"/>
    <xf numFmtId="0" fontId="0" fillId="0" borderId="7" xfId="0" applyBorder="1" applyAlignment="1">
      <alignment horizontal="center"/>
    </xf>
    <xf numFmtId="166" fontId="0" fillId="0" borderId="7" xfId="2" applyNumberFormat="1" applyFont="1" applyBorder="1"/>
    <xf numFmtId="9" fontId="0" fillId="0" borderId="7" xfId="3" applyFont="1" applyBorder="1"/>
    <xf numFmtId="166" fontId="0" fillId="0" borderId="7" xfId="2" applyNumberFormat="1" applyFont="1" applyBorder="1" applyAlignment="1">
      <alignment horizontal="center"/>
    </xf>
    <xf numFmtId="9" fontId="0" fillId="0" borderId="7" xfId="0" applyNumberFormat="1" applyBorder="1"/>
    <xf numFmtId="44" fontId="0" fillId="0" borderId="0" xfId="2" applyFont="1" applyBorder="1" applyAlignment="1">
      <alignment horizontal="center"/>
    </xf>
    <xf numFmtId="168" fontId="0" fillId="0" borderId="0" xfId="0" applyNumberFormat="1"/>
    <xf numFmtId="9" fontId="0" fillId="0" borderId="7" xfId="0" applyNumberFormat="1" applyBorder="1" applyAlignment="1">
      <alignment horizontal="center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2" applyNumberFormat="1" applyFont="1" applyFill="1"/>
    <xf numFmtId="170" fontId="0" fillId="0" borderId="0" xfId="3" applyNumberFormat="1" applyFont="1"/>
    <xf numFmtId="0" fontId="0" fillId="0" borderId="8" xfId="0" applyBorder="1"/>
    <xf numFmtId="0" fontId="0" fillId="0" borderId="8" xfId="0" applyBorder="1" applyAlignment="1">
      <alignment horizontal="center"/>
    </xf>
    <xf numFmtId="166" fontId="0" fillId="0" borderId="8" xfId="2" applyNumberFormat="1" applyFont="1" applyBorder="1"/>
    <xf numFmtId="9" fontId="0" fillId="0" borderId="0" xfId="3" applyFont="1" applyAlignment="1">
      <alignment horizontal="right"/>
    </xf>
    <xf numFmtId="1" fontId="0" fillId="0" borderId="0" xfId="0" applyNumberFormat="1"/>
    <xf numFmtId="1" fontId="0" fillId="0" borderId="0" xfId="1" applyNumberFormat="1" applyFont="1"/>
    <xf numFmtId="9" fontId="0" fillId="0" borderId="0" xfId="0" applyNumberFormat="1" applyAlignment="1">
      <alignment horizontal="center"/>
    </xf>
    <xf numFmtId="6" fontId="0" fillId="0" borderId="0" xfId="0" applyNumberFormat="1"/>
    <xf numFmtId="0" fontId="0" fillId="0" borderId="0" xfId="0" applyAlignment="1">
      <alignment horizontal="left"/>
    </xf>
    <xf numFmtId="169" fontId="0" fillId="0" borderId="8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9" fontId="0" fillId="0" borderId="8" xfId="3" applyFont="1" applyBorder="1" applyAlignment="1">
      <alignment horizontal="right"/>
    </xf>
    <xf numFmtId="1" fontId="0" fillId="0" borderId="8" xfId="1" applyNumberFormat="1" applyFont="1" applyBorder="1"/>
    <xf numFmtId="4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31B4-79CC-4BF1-B52F-B0F47608E22A}">
  <dimension ref="A3:B13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14.83203125" customWidth="1"/>
    <col min="2" max="2" width="26.5" customWidth="1"/>
  </cols>
  <sheetData>
    <row r="3" spans="1:2" x14ac:dyDescent="0.2">
      <c r="A3" s="1" t="s">
        <v>0</v>
      </c>
      <c r="B3" s="2" t="s">
        <v>7</v>
      </c>
    </row>
    <row r="4" spans="1:2" x14ac:dyDescent="0.2">
      <c r="A4" s="3" t="s">
        <v>2</v>
      </c>
      <c r="B4" s="4" t="s">
        <v>5</v>
      </c>
    </row>
    <row r="5" spans="1:2" ht="17" x14ac:dyDescent="0.2">
      <c r="A5" s="3" t="s">
        <v>1</v>
      </c>
      <c r="B5" s="4" t="s">
        <v>4</v>
      </c>
    </row>
    <row r="6" spans="1:2" x14ac:dyDescent="0.2">
      <c r="A6" s="3" t="s">
        <v>3</v>
      </c>
      <c r="B6" s="5">
        <v>5000</v>
      </c>
    </row>
    <row r="7" spans="1:2" x14ac:dyDescent="0.2">
      <c r="A7" s="3" t="s">
        <v>44</v>
      </c>
      <c r="B7" s="5">
        <v>21800</v>
      </c>
    </row>
    <row r="8" spans="1:2" x14ac:dyDescent="0.2">
      <c r="A8" s="6" t="s">
        <v>6</v>
      </c>
      <c r="B8" s="7">
        <v>60</v>
      </c>
    </row>
    <row r="13" spans="1:2" x14ac:dyDescent="0.2">
      <c r="B1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F21C-0700-4DFE-A4E8-078DBBE27530}">
  <sheetPr>
    <pageSetUpPr fitToPage="1"/>
  </sheetPr>
  <dimension ref="A2:E56"/>
  <sheetViews>
    <sheetView topLeftCell="A27" workbookViewId="0">
      <selection activeCell="I53" sqref="I53"/>
    </sheetView>
  </sheetViews>
  <sheetFormatPr baseColWidth="10" defaultColWidth="8.83203125" defaultRowHeight="15" x14ac:dyDescent="0.2"/>
  <cols>
    <col min="1" max="1" width="14.83203125" customWidth="1"/>
    <col min="2" max="2" width="10.6640625" customWidth="1"/>
    <col min="3" max="3" width="10.1640625" style="9" customWidth="1"/>
    <col min="4" max="4" width="13.6640625" style="10" bestFit="1" customWidth="1"/>
  </cols>
  <sheetData>
    <row r="2" spans="1:4" x14ac:dyDescent="0.2">
      <c r="A2" s="12" t="s">
        <v>8</v>
      </c>
      <c r="B2" s="12"/>
      <c r="C2" s="12" t="s">
        <v>10</v>
      </c>
      <c r="D2" s="12"/>
    </row>
    <row r="3" spans="1:4" x14ac:dyDescent="0.2">
      <c r="A3" t="s">
        <v>9</v>
      </c>
      <c r="B3" s="13">
        <f>Property!B7</f>
        <v>21800</v>
      </c>
      <c r="C3" s="14">
        <v>130</v>
      </c>
      <c r="D3" s="15">
        <v>3800000</v>
      </c>
    </row>
    <row r="4" spans="1:4" ht="16" thickBot="1" x14ac:dyDescent="0.25">
      <c r="A4" s="19" t="s">
        <v>12</v>
      </c>
      <c r="B4" s="22">
        <v>0.05</v>
      </c>
      <c r="C4" s="23"/>
      <c r="D4" s="21">
        <f>D3*B4</f>
        <v>190000</v>
      </c>
    </row>
    <row r="5" spans="1:4" x14ac:dyDescent="0.2">
      <c r="A5" t="s">
        <v>21</v>
      </c>
      <c r="B5" s="16"/>
      <c r="C5" s="14"/>
      <c r="D5" s="15">
        <f>D4+D3</f>
        <v>3990000</v>
      </c>
    </row>
    <row r="6" spans="1:4" x14ac:dyDescent="0.2">
      <c r="D6" s="15"/>
    </row>
    <row r="7" spans="1:4" x14ac:dyDescent="0.2">
      <c r="A7" s="12" t="s">
        <v>11</v>
      </c>
      <c r="B7" s="12"/>
      <c r="C7" s="12"/>
      <c r="D7" s="12"/>
    </row>
    <row r="8" spans="1:4" x14ac:dyDescent="0.2">
      <c r="A8" t="s">
        <v>13</v>
      </c>
      <c r="B8" s="13">
        <f>B3</f>
        <v>21800</v>
      </c>
      <c r="C8" s="14">
        <v>10</v>
      </c>
      <c r="D8" s="15">
        <v>0</v>
      </c>
    </row>
    <row r="9" spans="1:4" x14ac:dyDescent="0.2">
      <c r="A9" t="s">
        <v>14</v>
      </c>
      <c r="D9" s="15">
        <v>0</v>
      </c>
    </row>
    <row r="10" spans="1:4" x14ac:dyDescent="0.2">
      <c r="A10" t="s">
        <v>24</v>
      </c>
      <c r="D10" s="15">
        <v>15000</v>
      </c>
    </row>
    <row r="11" spans="1:4" x14ac:dyDescent="0.2">
      <c r="A11" t="s">
        <v>15</v>
      </c>
      <c r="D11" s="15">
        <v>55000</v>
      </c>
    </row>
    <row r="12" spans="1:4" ht="16" thickBot="1" x14ac:dyDescent="0.25">
      <c r="A12" s="19" t="s">
        <v>23</v>
      </c>
      <c r="B12" s="19"/>
      <c r="C12" s="20"/>
      <c r="D12" s="21">
        <v>30000</v>
      </c>
    </row>
    <row r="13" spans="1:4" x14ac:dyDescent="0.2">
      <c r="A13" t="s">
        <v>20</v>
      </c>
      <c r="D13" s="15">
        <f>SUM(D8:D12)</f>
        <v>100000</v>
      </c>
    </row>
    <row r="14" spans="1:4" x14ac:dyDescent="0.2">
      <c r="D14" s="15"/>
    </row>
    <row r="15" spans="1:4" x14ac:dyDescent="0.2">
      <c r="A15" s="12" t="s">
        <v>16</v>
      </c>
      <c r="B15" s="12"/>
      <c r="C15" s="12"/>
      <c r="D15" s="17">
        <v>4000000</v>
      </c>
    </row>
    <row r="16" spans="1:4" x14ac:dyDescent="0.2">
      <c r="A16" t="s">
        <v>17</v>
      </c>
      <c r="B16" s="11">
        <v>0.02</v>
      </c>
      <c r="D16" s="15">
        <f>D15*B16</f>
        <v>80000</v>
      </c>
    </row>
    <row r="17" spans="1:4" ht="16" thickBot="1" x14ac:dyDescent="0.25">
      <c r="A17" s="19" t="s">
        <v>18</v>
      </c>
      <c r="B17" s="24">
        <v>7.0000000000000007E-2</v>
      </c>
      <c r="C17" s="20"/>
      <c r="D17" s="21">
        <f>D15*B17/2</f>
        <v>140000</v>
      </c>
    </row>
    <row r="18" spans="1:4" x14ac:dyDescent="0.2">
      <c r="A18" t="s">
        <v>22</v>
      </c>
      <c r="D18" s="10">
        <f>D17+D16</f>
        <v>220000</v>
      </c>
    </row>
    <row r="20" spans="1:4" x14ac:dyDescent="0.2">
      <c r="A20" s="12" t="s">
        <v>19</v>
      </c>
      <c r="B20" s="12"/>
      <c r="C20" s="12"/>
      <c r="D20" s="18">
        <f>D18+D13+D5</f>
        <v>4310000</v>
      </c>
    </row>
    <row r="24" spans="1:4" x14ac:dyDescent="0.2">
      <c r="A24" s="12" t="s">
        <v>25</v>
      </c>
      <c r="B24" s="12"/>
      <c r="C24" s="12"/>
      <c r="D24" s="12"/>
    </row>
    <row r="25" spans="1:4" x14ac:dyDescent="0.2">
      <c r="A25" t="s">
        <v>26</v>
      </c>
      <c r="B25" s="13">
        <v>2900</v>
      </c>
      <c r="C25" s="25">
        <v>65</v>
      </c>
      <c r="D25" s="10">
        <f>B25*C25</f>
        <v>188500</v>
      </c>
    </row>
    <row r="26" spans="1:4" x14ac:dyDescent="0.2">
      <c r="A26" t="s">
        <v>27</v>
      </c>
      <c r="B26" s="26">
        <f>21800*0.9-B25</f>
        <v>16720</v>
      </c>
      <c r="C26" s="25">
        <v>50</v>
      </c>
      <c r="D26" s="10">
        <f>B26*C26</f>
        <v>836000</v>
      </c>
    </row>
    <row r="27" spans="1:4" x14ac:dyDescent="0.2">
      <c r="A27" t="s">
        <v>28</v>
      </c>
      <c r="B27" s="11">
        <v>0.05</v>
      </c>
      <c r="D27" s="10">
        <f>B27*D26</f>
        <v>41800</v>
      </c>
    </row>
    <row r="28" spans="1:4" ht="16" thickBot="1" x14ac:dyDescent="0.25">
      <c r="A28" s="19" t="s">
        <v>29</v>
      </c>
      <c r="B28" s="24">
        <v>0.03</v>
      </c>
      <c r="C28" s="20"/>
      <c r="D28" s="21">
        <f>-B28*(D25+D26)</f>
        <v>-30735</v>
      </c>
    </row>
    <row r="29" spans="1:4" x14ac:dyDescent="0.2">
      <c r="A29" t="s">
        <v>38</v>
      </c>
      <c r="D29" s="10">
        <f>SUM(D25:D28)</f>
        <v>1035565</v>
      </c>
    </row>
    <row r="31" spans="1:4" x14ac:dyDescent="0.2">
      <c r="A31" s="12" t="s">
        <v>30</v>
      </c>
      <c r="B31" s="12"/>
      <c r="C31" s="12"/>
      <c r="D31" s="12"/>
    </row>
    <row r="32" spans="1:4" x14ac:dyDescent="0.2">
      <c r="A32" t="s">
        <v>31</v>
      </c>
      <c r="D32" s="10">
        <v>110000</v>
      </c>
    </row>
    <row r="33" spans="1:4" x14ac:dyDescent="0.2">
      <c r="A33" t="s">
        <v>24</v>
      </c>
      <c r="D33" s="10">
        <v>25000</v>
      </c>
    </row>
    <row r="34" spans="1:4" x14ac:dyDescent="0.2">
      <c r="A34" t="s">
        <v>32</v>
      </c>
      <c r="D34" s="10">
        <v>43600</v>
      </c>
    </row>
    <row r="35" spans="1:4" x14ac:dyDescent="0.2">
      <c r="A35" t="s">
        <v>34</v>
      </c>
      <c r="D35" s="10">
        <v>32700</v>
      </c>
    </row>
    <row r="36" spans="1:4" x14ac:dyDescent="0.2">
      <c r="A36" t="s">
        <v>33</v>
      </c>
      <c r="D36" s="10">
        <v>32700</v>
      </c>
    </row>
    <row r="37" spans="1:4" x14ac:dyDescent="0.2">
      <c r="A37" t="s">
        <v>35</v>
      </c>
      <c r="D37" s="10">
        <v>3270</v>
      </c>
    </row>
    <row r="38" spans="1:4" x14ac:dyDescent="0.2">
      <c r="A38" t="s">
        <v>36</v>
      </c>
      <c r="D38" s="10">
        <v>32700</v>
      </c>
    </row>
    <row r="39" spans="1:4" ht="16" thickBot="1" x14ac:dyDescent="0.25">
      <c r="A39" s="19" t="s">
        <v>37</v>
      </c>
      <c r="B39" s="19"/>
      <c r="C39" s="20"/>
      <c r="D39" s="21">
        <v>31623</v>
      </c>
    </row>
    <row r="40" spans="1:4" x14ac:dyDescent="0.2">
      <c r="A40" t="s">
        <v>39</v>
      </c>
      <c r="D40" s="10">
        <f>SUM(D32:D39)</f>
        <v>311593</v>
      </c>
    </row>
    <row r="41" spans="1:4" hidden="1" x14ac:dyDescent="0.2"/>
    <row r="42" spans="1:4" hidden="1" x14ac:dyDescent="0.2">
      <c r="A42" s="12" t="s">
        <v>42</v>
      </c>
      <c r="B42" s="12"/>
      <c r="C42" s="12"/>
      <c r="D42" s="12"/>
    </row>
    <row r="43" spans="1:4" hidden="1" x14ac:dyDescent="0.2">
      <c r="A43" t="s">
        <v>40</v>
      </c>
      <c r="D43" s="10">
        <f>D29-D40</f>
        <v>723972</v>
      </c>
    </row>
    <row r="44" spans="1:4" ht="16" hidden="1" thickBot="1" x14ac:dyDescent="0.25">
      <c r="A44" s="19" t="s">
        <v>41</v>
      </c>
      <c r="B44" s="27">
        <v>7.0000000000000007E-2</v>
      </c>
      <c r="C44" s="20"/>
      <c r="D44" s="21"/>
    </row>
    <row r="45" spans="1:4" hidden="1" x14ac:dyDescent="0.2">
      <c r="A45" t="s">
        <v>43</v>
      </c>
      <c r="D45" s="10">
        <f>D43/B44</f>
        <v>10342457.142857142</v>
      </c>
    </row>
    <row r="46" spans="1:4" hidden="1" x14ac:dyDescent="0.2"/>
    <row r="48" spans="1:4" x14ac:dyDescent="0.2">
      <c r="A48" s="12" t="s">
        <v>92</v>
      </c>
      <c r="B48" s="12"/>
      <c r="C48" s="32"/>
      <c r="D48" s="33"/>
    </row>
    <row r="49" spans="1:5" x14ac:dyDescent="0.2">
      <c r="A49" t="s">
        <v>68</v>
      </c>
      <c r="D49" s="10">
        <v>4000000</v>
      </c>
    </row>
    <row r="50" spans="1:5" x14ac:dyDescent="0.2">
      <c r="A50" t="s">
        <v>69</v>
      </c>
      <c r="D50" s="34">
        <v>0.08</v>
      </c>
    </row>
    <row r="51" spans="1:5" x14ac:dyDescent="0.2">
      <c r="A51" t="s">
        <v>70</v>
      </c>
      <c r="D51" s="10">
        <v>25</v>
      </c>
      <c r="E51" t="s">
        <v>71</v>
      </c>
    </row>
    <row r="52" spans="1:5" x14ac:dyDescent="0.2">
      <c r="A52" s="35" t="s">
        <v>72</v>
      </c>
      <c r="B52" s="35"/>
      <c r="C52" s="36"/>
      <c r="D52" s="37">
        <f>PMT(D50/12,25*12,-D49,0,1)</f>
        <v>30668.194147271639</v>
      </c>
    </row>
    <row r="53" spans="1:5" x14ac:dyDescent="0.2">
      <c r="A53" t="s">
        <v>73</v>
      </c>
      <c r="D53" s="10">
        <f>D52*12</f>
        <v>368018.32976725965</v>
      </c>
    </row>
    <row r="55" spans="1:5" x14ac:dyDescent="0.2">
      <c r="A55" t="s">
        <v>87</v>
      </c>
      <c r="D55" s="10">
        <f>D29-D40-D53</f>
        <v>355953.67023274035</v>
      </c>
    </row>
    <row r="56" spans="1:5" x14ac:dyDescent="0.2">
      <c r="B56" t="s">
        <v>88</v>
      </c>
      <c r="D56" s="10">
        <f>D55/12</f>
        <v>29662.805852728361</v>
      </c>
    </row>
  </sheetData>
  <pageMargins left="0.25" right="0.25" top="0.75" bottom="0.75" header="0.3" footer="0.3"/>
  <pageSetup scale="9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1601-5DA1-4A70-8835-715E9F54592B}">
  <dimension ref="A1:H43"/>
  <sheetViews>
    <sheetView topLeftCell="A31" workbookViewId="0">
      <selection activeCell="H4" sqref="H4"/>
    </sheetView>
  </sheetViews>
  <sheetFormatPr baseColWidth="10" defaultColWidth="8.83203125" defaultRowHeight="15" x14ac:dyDescent="0.2"/>
  <cols>
    <col min="3" max="3" width="10.5" customWidth="1"/>
    <col min="4" max="5" width="9.5" customWidth="1"/>
    <col min="6" max="6" width="12.6640625" style="9" bestFit="1" customWidth="1"/>
    <col min="7" max="7" width="9.6640625" style="38" bestFit="1" customWidth="1"/>
    <col min="8" max="8" width="12.33203125" style="39" customWidth="1"/>
  </cols>
  <sheetData>
    <row r="1" spans="1:8" x14ac:dyDescent="0.2">
      <c r="A1" t="s">
        <v>79</v>
      </c>
      <c r="C1" s="42">
        <v>60</v>
      </c>
    </row>
    <row r="3" spans="1:8" x14ac:dyDescent="0.2">
      <c r="C3" s="9" t="s">
        <v>45</v>
      </c>
      <c r="D3" s="9" t="s">
        <v>46</v>
      </c>
      <c r="E3" s="9" t="s">
        <v>47</v>
      </c>
      <c r="F3" s="9" t="s">
        <v>89</v>
      </c>
      <c r="G3" s="38" t="s">
        <v>74</v>
      </c>
      <c r="H3" s="39" t="s">
        <v>77</v>
      </c>
    </row>
    <row r="4" spans="1:8" x14ac:dyDescent="0.2">
      <c r="A4" t="s">
        <v>66</v>
      </c>
      <c r="B4" t="s">
        <v>76</v>
      </c>
      <c r="C4" s="9"/>
      <c r="D4" s="9" t="s">
        <v>78</v>
      </c>
      <c r="E4" s="9">
        <v>100</v>
      </c>
      <c r="F4" s="9">
        <v>100</v>
      </c>
      <c r="H4" s="39">
        <f>F4*E4</f>
        <v>10000</v>
      </c>
    </row>
    <row r="5" spans="1:8" x14ac:dyDescent="0.2">
      <c r="A5" t="s">
        <v>66</v>
      </c>
      <c r="B5" t="s">
        <v>80</v>
      </c>
      <c r="C5" s="9"/>
      <c r="D5" s="41">
        <v>0.1</v>
      </c>
      <c r="E5" s="9"/>
      <c r="F5" s="30">
        <f>(F4+SUM(F7:F40))*$D$5</f>
        <v>2101.5138888888891</v>
      </c>
      <c r="H5" s="39">
        <f>(H4+SUM(H7:H40))*$D$5</f>
        <v>6751.6631944444453</v>
      </c>
    </row>
    <row r="6" spans="1:8" x14ac:dyDescent="0.2">
      <c r="A6" t="s">
        <v>67</v>
      </c>
      <c r="B6" t="s">
        <v>26</v>
      </c>
      <c r="C6" s="9"/>
      <c r="D6" s="9"/>
      <c r="E6" s="9">
        <v>2900</v>
      </c>
      <c r="F6" s="30">
        <f>E6*70/12</f>
        <v>16916.666666666668</v>
      </c>
      <c r="H6" s="40">
        <f>F6*(1+G6)</f>
        <v>16916.666666666668</v>
      </c>
    </row>
    <row r="7" spans="1:8" x14ac:dyDescent="0.2">
      <c r="A7" t="s">
        <v>65</v>
      </c>
      <c r="B7" t="s">
        <v>48</v>
      </c>
      <c r="C7" s="29">
        <f t="shared" ref="C7:C13" si="0">11+(8/12)</f>
        <v>11.666666666666666</v>
      </c>
      <c r="D7" s="29">
        <f>12+(10/12)</f>
        <v>12.833333333333334</v>
      </c>
      <c r="E7" s="29">
        <f>C7*D7</f>
        <v>149.72222222222223</v>
      </c>
      <c r="F7" s="30">
        <f t="shared" ref="F7:F40" si="1">E7*$C$1/12</f>
        <v>748.6111111111112</v>
      </c>
      <c r="G7" s="38">
        <v>0.5</v>
      </c>
      <c r="H7" s="40">
        <f>F7*(1+G7)</f>
        <v>1122.9166666666667</v>
      </c>
    </row>
    <row r="8" spans="1:8" x14ac:dyDescent="0.2">
      <c r="A8" t="s">
        <v>65</v>
      </c>
      <c r="B8" t="s">
        <v>49</v>
      </c>
      <c r="C8" s="29">
        <f t="shared" si="0"/>
        <v>11.666666666666666</v>
      </c>
      <c r="D8" s="29">
        <f>11+(5/12)</f>
        <v>11.416666666666666</v>
      </c>
      <c r="E8" s="29">
        <f t="shared" ref="E8:E14" si="2">C8*D8</f>
        <v>133.19444444444443</v>
      </c>
      <c r="F8" s="30">
        <f t="shared" si="1"/>
        <v>665.97222222222217</v>
      </c>
      <c r="G8" s="38">
        <v>0.5</v>
      </c>
      <c r="H8" s="40">
        <f t="shared" ref="H8:H40" si="3">F8*(1+G8)</f>
        <v>998.95833333333326</v>
      </c>
    </row>
    <row r="9" spans="1:8" x14ac:dyDescent="0.2">
      <c r="A9" t="s">
        <v>65</v>
      </c>
      <c r="B9" t="s">
        <v>50</v>
      </c>
      <c r="C9" s="29">
        <f t="shared" si="0"/>
        <v>11.666666666666666</v>
      </c>
      <c r="D9" s="29">
        <f>10+(2/12)</f>
        <v>10.166666666666666</v>
      </c>
      <c r="E9" s="29">
        <f t="shared" si="2"/>
        <v>118.6111111111111</v>
      </c>
      <c r="F9" s="30">
        <f t="shared" si="1"/>
        <v>593.05555555555554</v>
      </c>
      <c r="G9" s="38">
        <v>0.5</v>
      </c>
      <c r="H9" s="40">
        <f t="shared" si="3"/>
        <v>889.58333333333326</v>
      </c>
    </row>
    <row r="10" spans="1:8" x14ac:dyDescent="0.2">
      <c r="A10" t="s">
        <v>65</v>
      </c>
      <c r="B10" t="s">
        <v>51</v>
      </c>
      <c r="C10" s="29">
        <f t="shared" si="0"/>
        <v>11.666666666666666</v>
      </c>
      <c r="D10" s="29">
        <f>10+(10/12)</f>
        <v>10.833333333333334</v>
      </c>
      <c r="E10" s="29">
        <f t="shared" si="2"/>
        <v>126.38888888888889</v>
      </c>
      <c r="F10" s="30">
        <f t="shared" si="1"/>
        <v>631.94444444444446</v>
      </c>
      <c r="G10" s="38">
        <v>0.5</v>
      </c>
      <c r="H10" s="40">
        <f t="shared" si="3"/>
        <v>947.91666666666674</v>
      </c>
    </row>
    <row r="11" spans="1:8" x14ac:dyDescent="0.2">
      <c r="A11" t="s">
        <v>65</v>
      </c>
      <c r="B11" t="s">
        <v>52</v>
      </c>
      <c r="C11" s="29">
        <f t="shared" si="0"/>
        <v>11.666666666666666</v>
      </c>
      <c r="D11" s="29">
        <f>11+(6/12)</f>
        <v>11.5</v>
      </c>
      <c r="E11" s="29">
        <f t="shared" si="2"/>
        <v>134.16666666666666</v>
      </c>
      <c r="F11" s="30">
        <f t="shared" si="1"/>
        <v>670.83333333333326</v>
      </c>
      <c r="G11" s="38">
        <v>0.5</v>
      </c>
      <c r="H11" s="40">
        <f t="shared" si="3"/>
        <v>1006.2499999999999</v>
      </c>
    </row>
    <row r="12" spans="1:8" x14ac:dyDescent="0.2">
      <c r="A12" t="s">
        <v>65</v>
      </c>
      <c r="B12" t="s">
        <v>53</v>
      </c>
      <c r="C12" s="29">
        <f t="shared" si="0"/>
        <v>11.666666666666666</v>
      </c>
      <c r="D12" s="29">
        <f>9+(10/12)</f>
        <v>9.8333333333333339</v>
      </c>
      <c r="E12" s="29">
        <f t="shared" si="2"/>
        <v>114.72222222222223</v>
      </c>
      <c r="F12" s="30">
        <f t="shared" si="1"/>
        <v>573.6111111111112</v>
      </c>
      <c r="G12" s="38">
        <v>0.5</v>
      </c>
      <c r="H12" s="40">
        <f t="shared" si="3"/>
        <v>860.41666666666674</v>
      </c>
    </row>
    <row r="13" spans="1:8" x14ac:dyDescent="0.2">
      <c r="A13" t="s">
        <v>65</v>
      </c>
      <c r="B13" t="s">
        <v>54</v>
      </c>
      <c r="C13" s="29">
        <f t="shared" si="0"/>
        <v>11.666666666666666</v>
      </c>
      <c r="D13" s="29">
        <f>11+(10/12)</f>
        <v>11.833333333333334</v>
      </c>
      <c r="E13" s="29">
        <f t="shared" si="2"/>
        <v>138.05555555555554</v>
      </c>
      <c r="F13" s="30">
        <f t="shared" si="1"/>
        <v>690.27777777777771</v>
      </c>
      <c r="G13" s="38">
        <v>0.5</v>
      </c>
      <c r="H13" s="40">
        <f t="shared" si="3"/>
        <v>1035.4166666666665</v>
      </c>
    </row>
    <row r="14" spans="1:8" x14ac:dyDescent="0.2">
      <c r="A14" t="s">
        <v>65</v>
      </c>
      <c r="B14" t="s">
        <v>55</v>
      </c>
      <c r="C14" s="29">
        <v>12</v>
      </c>
      <c r="D14" s="29">
        <f>9+(6/12)</f>
        <v>9.5</v>
      </c>
      <c r="E14" s="29">
        <f t="shared" si="2"/>
        <v>114</v>
      </c>
      <c r="F14" s="30">
        <f t="shared" si="1"/>
        <v>570</v>
      </c>
      <c r="G14" s="38">
        <v>0.5</v>
      </c>
      <c r="H14" s="40">
        <f t="shared" si="3"/>
        <v>855</v>
      </c>
    </row>
    <row r="15" spans="1:8" x14ac:dyDescent="0.2">
      <c r="A15" t="s">
        <v>65</v>
      </c>
      <c r="B15" t="s">
        <v>56</v>
      </c>
      <c r="C15" s="29">
        <v>12</v>
      </c>
      <c r="D15" s="29">
        <f>9+(6/12)</f>
        <v>9.5</v>
      </c>
      <c r="E15" s="29">
        <f t="shared" ref="E15:E23" si="4">C15*D15</f>
        <v>114</v>
      </c>
      <c r="F15" s="30">
        <f t="shared" si="1"/>
        <v>570</v>
      </c>
      <c r="G15" s="38">
        <v>0.5</v>
      </c>
      <c r="H15" s="40">
        <f t="shared" si="3"/>
        <v>855</v>
      </c>
    </row>
    <row r="16" spans="1:8" x14ac:dyDescent="0.2">
      <c r="A16" t="s">
        <v>65</v>
      </c>
      <c r="B16" t="s">
        <v>57</v>
      </c>
      <c r="C16" s="29">
        <v>12</v>
      </c>
      <c r="D16" s="29">
        <f>9+(6/12)</f>
        <v>9.5</v>
      </c>
      <c r="E16" s="29">
        <f t="shared" si="4"/>
        <v>114</v>
      </c>
      <c r="F16" s="30">
        <f t="shared" si="1"/>
        <v>570</v>
      </c>
      <c r="G16" s="38">
        <v>0.5</v>
      </c>
      <c r="H16" s="40">
        <f t="shared" si="3"/>
        <v>855</v>
      </c>
    </row>
    <row r="17" spans="1:8" x14ac:dyDescent="0.2">
      <c r="A17" t="s">
        <v>65</v>
      </c>
      <c r="B17" t="s">
        <v>58</v>
      </c>
      <c r="C17" s="29">
        <v>12</v>
      </c>
      <c r="D17" s="29">
        <f>9+(6/12)</f>
        <v>9.5</v>
      </c>
      <c r="E17" s="29">
        <f t="shared" si="4"/>
        <v>114</v>
      </c>
      <c r="F17" s="30">
        <f t="shared" si="1"/>
        <v>570</v>
      </c>
      <c r="G17" s="38">
        <v>0.5</v>
      </c>
      <c r="H17" s="40">
        <f t="shared" si="3"/>
        <v>855</v>
      </c>
    </row>
    <row r="18" spans="1:8" x14ac:dyDescent="0.2">
      <c r="A18" t="s">
        <v>65</v>
      </c>
      <c r="B18" t="s">
        <v>59</v>
      </c>
      <c r="C18" s="29">
        <v>11</v>
      </c>
      <c r="D18" s="29">
        <f>8+(3/12)</f>
        <v>8.25</v>
      </c>
      <c r="E18" s="29">
        <f t="shared" si="4"/>
        <v>90.75</v>
      </c>
      <c r="F18" s="30">
        <f t="shared" si="1"/>
        <v>453.75</v>
      </c>
      <c r="G18" s="38">
        <v>0.5</v>
      </c>
      <c r="H18" s="40">
        <f t="shared" si="3"/>
        <v>680.625</v>
      </c>
    </row>
    <row r="19" spans="1:8" x14ac:dyDescent="0.2">
      <c r="A19" t="s">
        <v>65</v>
      </c>
      <c r="B19" t="s">
        <v>60</v>
      </c>
      <c r="C19" s="29">
        <f>11+(4.4/12)</f>
        <v>11.366666666666667</v>
      </c>
      <c r="D19" s="29">
        <v>12</v>
      </c>
      <c r="E19" s="29">
        <f t="shared" si="4"/>
        <v>136.4</v>
      </c>
      <c r="F19" s="30">
        <f t="shared" si="1"/>
        <v>682</v>
      </c>
      <c r="G19" s="38">
        <v>0.5</v>
      </c>
      <c r="H19" s="40">
        <f t="shared" si="3"/>
        <v>1023</v>
      </c>
    </row>
    <row r="20" spans="1:8" x14ac:dyDescent="0.2">
      <c r="A20" t="s">
        <v>65</v>
      </c>
      <c r="B20" t="s">
        <v>61</v>
      </c>
      <c r="C20" s="29">
        <f>11+(4.4/12)</f>
        <v>11.366666666666667</v>
      </c>
      <c r="D20" s="29">
        <f>10+(8/12)</f>
        <v>10.666666666666666</v>
      </c>
      <c r="E20" s="29">
        <f t="shared" si="4"/>
        <v>121.24444444444444</v>
      </c>
      <c r="F20" s="30">
        <f t="shared" si="1"/>
        <v>606.22222222222217</v>
      </c>
      <c r="G20" s="38">
        <v>0.5</v>
      </c>
      <c r="H20" s="40">
        <f t="shared" si="3"/>
        <v>909.33333333333326</v>
      </c>
    </row>
    <row r="21" spans="1:8" x14ac:dyDescent="0.2">
      <c r="A21" t="s">
        <v>65</v>
      </c>
      <c r="B21" t="s">
        <v>62</v>
      </c>
      <c r="C21" s="29">
        <f>11+(4.4/12)</f>
        <v>11.366666666666667</v>
      </c>
      <c r="D21" s="29">
        <f>11+(1/12)</f>
        <v>11.083333333333334</v>
      </c>
      <c r="E21" s="29">
        <f t="shared" si="4"/>
        <v>125.98055555555557</v>
      </c>
      <c r="F21" s="30">
        <f t="shared" si="1"/>
        <v>629.90277777777783</v>
      </c>
      <c r="G21" s="38">
        <v>0.5</v>
      </c>
      <c r="H21" s="40">
        <f t="shared" si="3"/>
        <v>944.85416666666674</v>
      </c>
    </row>
    <row r="22" spans="1:8" x14ac:dyDescent="0.2">
      <c r="A22" t="s">
        <v>65</v>
      </c>
      <c r="B22" t="s">
        <v>63</v>
      </c>
      <c r="C22" s="29">
        <f>11+(4.4/12)</f>
        <v>11.366666666666667</v>
      </c>
      <c r="D22" s="29">
        <f>10+(10/12)</f>
        <v>10.833333333333334</v>
      </c>
      <c r="E22" s="29">
        <f t="shared" si="4"/>
        <v>123.1388888888889</v>
      </c>
      <c r="F22" s="30">
        <f t="shared" si="1"/>
        <v>615.69444444444446</v>
      </c>
      <c r="G22" s="38">
        <v>0.5</v>
      </c>
      <c r="H22" s="40">
        <f t="shared" si="3"/>
        <v>923.54166666666674</v>
      </c>
    </row>
    <row r="23" spans="1:8" x14ac:dyDescent="0.2">
      <c r="A23" t="s">
        <v>65</v>
      </c>
      <c r="B23" t="s">
        <v>64</v>
      </c>
      <c r="C23" s="29">
        <f>11+(4.4/12)</f>
        <v>11.366666666666667</v>
      </c>
      <c r="D23" s="29">
        <f>10+(10/12)</f>
        <v>10.833333333333334</v>
      </c>
      <c r="E23" s="29">
        <f t="shared" si="4"/>
        <v>123.1388888888889</v>
      </c>
      <c r="F23" s="30">
        <f t="shared" si="1"/>
        <v>615.69444444444446</v>
      </c>
      <c r="G23" s="38">
        <v>0.5</v>
      </c>
      <c r="H23" s="40">
        <f t="shared" si="3"/>
        <v>923.54166666666674</v>
      </c>
    </row>
    <row r="24" spans="1:8" x14ac:dyDescent="0.2">
      <c r="A24" t="s">
        <v>75</v>
      </c>
      <c r="B24" t="s">
        <v>48</v>
      </c>
      <c r="C24" s="29">
        <f t="shared" ref="C24:C30" si="5">11+(8/12)</f>
        <v>11.666666666666666</v>
      </c>
      <c r="D24" s="29">
        <f>12+(10/12)</f>
        <v>12.833333333333334</v>
      </c>
      <c r="E24" s="29">
        <f>C24*D24</f>
        <v>149.72222222222223</v>
      </c>
      <c r="F24" s="30">
        <f t="shared" si="1"/>
        <v>748.6111111111112</v>
      </c>
      <c r="G24" s="38">
        <v>3</v>
      </c>
      <c r="H24" s="40">
        <f t="shared" si="3"/>
        <v>2994.4444444444448</v>
      </c>
    </row>
    <row r="25" spans="1:8" x14ac:dyDescent="0.2">
      <c r="A25" t="s">
        <v>75</v>
      </c>
      <c r="B25" t="s">
        <v>49</v>
      </c>
      <c r="C25" s="29">
        <f t="shared" si="5"/>
        <v>11.666666666666666</v>
      </c>
      <c r="D25" s="29">
        <f>11+(5/12)</f>
        <v>11.416666666666666</v>
      </c>
      <c r="E25" s="29">
        <f t="shared" ref="E25:E40" si="6">C25*D25</f>
        <v>133.19444444444443</v>
      </c>
      <c r="F25" s="30">
        <f t="shared" si="1"/>
        <v>665.97222222222217</v>
      </c>
      <c r="G25" s="38">
        <v>3</v>
      </c>
      <c r="H25" s="40">
        <f t="shared" si="3"/>
        <v>2663.8888888888887</v>
      </c>
    </row>
    <row r="26" spans="1:8" x14ac:dyDescent="0.2">
      <c r="A26" t="s">
        <v>75</v>
      </c>
      <c r="B26" t="s">
        <v>50</v>
      </c>
      <c r="C26" s="29">
        <f t="shared" si="5"/>
        <v>11.666666666666666</v>
      </c>
      <c r="D26" s="29">
        <f>10+(2/12)</f>
        <v>10.166666666666666</v>
      </c>
      <c r="E26" s="29">
        <f t="shared" si="6"/>
        <v>118.6111111111111</v>
      </c>
      <c r="F26" s="30">
        <f t="shared" si="1"/>
        <v>593.05555555555554</v>
      </c>
      <c r="G26" s="38">
        <v>3</v>
      </c>
      <c r="H26" s="40">
        <f t="shared" si="3"/>
        <v>2372.2222222222222</v>
      </c>
    </row>
    <row r="27" spans="1:8" x14ac:dyDescent="0.2">
      <c r="A27" t="s">
        <v>75</v>
      </c>
      <c r="B27" t="s">
        <v>51</v>
      </c>
      <c r="C27" s="29">
        <f t="shared" si="5"/>
        <v>11.666666666666666</v>
      </c>
      <c r="D27" s="29">
        <f>10+(10/12)</f>
        <v>10.833333333333334</v>
      </c>
      <c r="E27" s="29">
        <f t="shared" si="6"/>
        <v>126.38888888888889</v>
      </c>
      <c r="F27" s="30">
        <f t="shared" si="1"/>
        <v>631.94444444444446</v>
      </c>
      <c r="G27" s="38">
        <v>3</v>
      </c>
      <c r="H27" s="40">
        <f t="shared" si="3"/>
        <v>2527.7777777777778</v>
      </c>
    </row>
    <row r="28" spans="1:8" x14ac:dyDescent="0.2">
      <c r="A28" t="s">
        <v>75</v>
      </c>
      <c r="B28" t="s">
        <v>52</v>
      </c>
      <c r="C28" s="29">
        <f t="shared" si="5"/>
        <v>11.666666666666666</v>
      </c>
      <c r="D28" s="29">
        <f>11+(6/12)</f>
        <v>11.5</v>
      </c>
      <c r="E28" s="29">
        <f t="shared" si="6"/>
        <v>134.16666666666666</v>
      </c>
      <c r="F28" s="30">
        <f t="shared" si="1"/>
        <v>670.83333333333326</v>
      </c>
      <c r="G28" s="38">
        <v>3</v>
      </c>
      <c r="H28" s="40">
        <f t="shared" si="3"/>
        <v>2683.333333333333</v>
      </c>
    </row>
    <row r="29" spans="1:8" x14ac:dyDescent="0.2">
      <c r="A29" t="s">
        <v>75</v>
      </c>
      <c r="B29" t="s">
        <v>53</v>
      </c>
      <c r="C29" s="29">
        <f t="shared" si="5"/>
        <v>11.666666666666666</v>
      </c>
      <c r="D29" s="29">
        <f>9+(10/12)</f>
        <v>9.8333333333333339</v>
      </c>
      <c r="E29" s="29">
        <f t="shared" si="6"/>
        <v>114.72222222222223</v>
      </c>
      <c r="F29" s="30">
        <f t="shared" si="1"/>
        <v>573.6111111111112</v>
      </c>
      <c r="G29" s="38">
        <v>3</v>
      </c>
      <c r="H29" s="40">
        <f t="shared" si="3"/>
        <v>2294.4444444444448</v>
      </c>
    </row>
    <row r="30" spans="1:8" x14ac:dyDescent="0.2">
      <c r="A30" t="s">
        <v>75</v>
      </c>
      <c r="B30" t="s">
        <v>54</v>
      </c>
      <c r="C30" s="29">
        <f t="shared" si="5"/>
        <v>11.666666666666666</v>
      </c>
      <c r="D30" s="29">
        <f>11+(10/12)</f>
        <v>11.833333333333334</v>
      </c>
      <c r="E30" s="29">
        <f t="shared" si="6"/>
        <v>138.05555555555554</v>
      </c>
      <c r="F30" s="30">
        <f t="shared" si="1"/>
        <v>690.27777777777771</v>
      </c>
      <c r="G30" s="38">
        <v>3</v>
      </c>
      <c r="H30" s="40">
        <f t="shared" si="3"/>
        <v>2761.1111111111109</v>
      </c>
    </row>
    <row r="31" spans="1:8" x14ac:dyDescent="0.2">
      <c r="A31" t="s">
        <v>75</v>
      </c>
      <c r="B31" t="s">
        <v>55</v>
      </c>
      <c r="C31" s="29">
        <v>12</v>
      </c>
      <c r="D31" s="29">
        <f>9+(6/12)</f>
        <v>9.5</v>
      </c>
      <c r="E31" s="29">
        <f t="shared" si="6"/>
        <v>114</v>
      </c>
      <c r="F31" s="30">
        <f t="shared" si="1"/>
        <v>570</v>
      </c>
      <c r="G31" s="38">
        <v>3</v>
      </c>
      <c r="H31" s="40">
        <f t="shared" si="3"/>
        <v>2280</v>
      </c>
    </row>
    <row r="32" spans="1:8" x14ac:dyDescent="0.2">
      <c r="A32" t="s">
        <v>75</v>
      </c>
      <c r="B32" t="s">
        <v>56</v>
      </c>
      <c r="C32" s="29">
        <v>12</v>
      </c>
      <c r="D32" s="29">
        <f>9+(6/12)</f>
        <v>9.5</v>
      </c>
      <c r="E32" s="29">
        <f t="shared" si="6"/>
        <v>114</v>
      </c>
      <c r="F32" s="30">
        <f t="shared" si="1"/>
        <v>570</v>
      </c>
      <c r="G32" s="38">
        <v>3</v>
      </c>
      <c r="H32" s="40">
        <f t="shared" si="3"/>
        <v>2280</v>
      </c>
    </row>
    <row r="33" spans="1:8" x14ac:dyDescent="0.2">
      <c r="A33" t="s">
        <v>75</v>
      </c>
      <c r="B33" t="s">
        <v>57</v>
      </c>
      <c r="C33" s="29">
        <v>12</v>
      </c>
      <c r="D33" s="29">
        <f>9+(6/12)</f>
        <v>9.5</v>
      </c>
      <c r="E33" s="29">
        <f t="shared" si="6"/>
        <v>114</v>
      </c>
      <c r="F33" s="30">
        <f t="shared" si="1"/>
        <v>570</v>
      </c>
      <c r="G33" s="38">
        <v>3</v>
      </c>
      <c r="H33" s="40">
        <f t="shared" si="3"/>
        <v>2280</v>
      </c>
    </row>
    <row r="34" spans="1:8" x14ac:dyDescent="0.2">
      <c r="A34" t="s">
        <v>75</v>
      </c>
      <c r="B34" t="s">
        <v>58</v>
      </c>
      <c r="C34" s="29">
        <v>12</v>
      </c>
      <c r="D34" s="29">
        <f>9+(6/12)</f>
        <v>9.5</v>
      </c>
      <c r="E34" s="29">
        <f t="shared" si="6"/>
        <v>114</v>
      </c>
      <c r="F34" s="30">
        <f t="shared" si="1"/>
        <v>570</v>
      </c>
      <c r="G34" s="38">
        <v>3</v>
      </c>
      <c r="H34" s="40">
        <f t="shared" si="3"/>
        <v>2280</v>
      </c>
    </row>
    <row r="35" spans="1:8" x14ac:dyDescent="0.2">
      <c r="A35" t="s">
        <v>75</v>
      </c>
      <c r="B35" t="s">
        <v>59</v>
      </c>
      <c r="C35" s="29">
        <v>11</v>
      </c>
      <c r="D35" s="29">
        <f>8+(3/12)</f>
        <v>8.25</v>
      </c>
      <c r="E35" s="29">
        <f t="shared" si="6"/>
        <v>90.75</v>
      </c>
      <c r="F35" s="30">
        <f t="shared" si="1"/>
        <v>453.75</v>
      </c>
      <c r="G35" s="38">
        <v>3</v>
      </c>
      <c r="H35" s="40">
        <f t="shared" si="3"/>
        <v>1815</v>
      </c>
    </row>
    <row r="36" spans="1:8" x14ac:dyDescent="0.2">
      <c r="A36" t="s">
        <v>75</v>
      </c>
      <c r="B36" t="s">
        <v>60</v>
      </c>
      <c r="C36" s="29">
        <f>11+(4.4/12)</f>
        <v>11.366666666666667</v>
      </c>
      <c r="D36" s="29">
        <v>12</v>
      </c>
      <c r="E36" s="29">
        <f t="shared" si="6"/>
        <v>136.4</v>
      </c>
      <c r="F36" s="30">
        <f t="shared" si="1"/>
        <v>682</v>
      </c>
      <c r="G36" s="38">
        <v>3</v>
      </c>
      <c r="H36" s="40">
        <f t="shared" si="3"/>
        <v>2728</v>
      </c>
    </row>
    <row r="37" spans="1:8" x14ac:dyDescent="0.2">
      <c r="A37" t="s">
        <v>75</v>
      </c>
      <c r="B37" t="s">
        <v>61</v>
      </c>
      <c r="C37" s="29">
        <f>11+(4.4/12)</f>
        <v>11.366666666666667</v>
      </c>
      <c r="D37" s="29">
        <f>10+(8/12)</f>
        <v>10.666666666666666</v>
      </c>
      <c r="E37" s="29">
        <f t="shared" si="6"/>
        <v>121.24444444444444</v>
      </c>
      <c r="F37" s="30">
        <f t="shared" si="1"/>
        <v>606.22222222222217</v>
      </c>
      <c r="G37" s="38">
        <v>3</v>
      </c>
      <c r="H37" s="40">
        <f t="shared" si="3"/>
        <v>2424.8888888888887</v>
      </c>
    </row>
    <row r="38" spans="1:8" x14ac:dyDescent="0.2">
      <c r="A38" t="s">
        <v>75</v>
      </c>
      <c r="B38" t="s">
        <v>62</v>
      </c>
      <c r="C38" s="29">
        <f>11+(4.4/12)</f>
        <v>11.366666666666667</v>
      </c>
      <c r="D38" s="29">
        <f>11+(1/12)</f>
        <v>11.083333333333334</v>
      </c>
      <c r="E38" s="29">
        <f t="shared" si="6"/>
        <v>125.98055555555557</v>
      </c>
      <c r="F38" s="30">
        <f t="shared" si="1"/>
        <v>629.90277777777783</v>
      </c>
      <c r="G38" s="38">
        <v>3</v>
      </c>
      <c r="H38" s="40">
        <f t="shared" si="3"/>
        <v>2519.6111111111113</v>
      </c>
    </row>
    <row r="39" spans="1:8" x14ac:dyDescent="0.2">
      <c r="A39" t="s">
        <v>75</v>
      </c>
      <c r="B39" t="s">
        <v>63</v>
      </c>
      <c r="C39" s="29">
        <f>11+(4.4/12)</f>
        <v>11.366666666666667</v>
      </c>
      <c r="D39" s="29">
        <f>10+(10/12)</f>
        <v>10.833333333333334</v>
      </c>
      <c r="E39" s="29">
        <f t="shared" si="6"/>
        <v>123.1388888888889</v>
      </c>
      <c r="F39" s="30">
        <f t="shared" si="1"/>
        <v>615.69444444444446</v>
      </c>
      <c r="G39" s="38">
        <v>3</v>
      </c>
      <c r="H39" s="40">
        <f t="shared" si="3"/>
        <v>2462.7777777777778</v>
      </c>
    </row>
    <row r="40" spans="1:8" x14ac:dyDescent="0.2">
      <c r="A40" s="35" t="s">
        <v>75</v>
      </c>
      <c r="B40" s="35" t="s">
        <v>64</v>
      </c>
      <c r="C40" s="44">
        <f>11+(4.4/12)</f>
        <v>11.366666666666667</v>
      </c>
      <c r="D40" s="44">
        <f>10+(10/12)</f>
        <v>10.833333333333334</v>
      </c>
      <c r="E40" s="44">
        <f t="shared" si="6"/>
        <v>123.1388888888889</v>
      </c>
      <c r="F40" s="45">
        <f t="shared" si="1"/>
        <v>615.69444444444446</v>
      </c>
      <c r="G40" s="46">
        <v>3</v>
      </c>
      <c r="H40" s="47">
        <f t="shared" si="3"/>
        <v>2462.7777777777778</v>
      </c>
    </row>
    <row r="41" spans="1:8" x14ac:dyDescent="0.2">
      <c r="C41" s="29"/>
      <c r="D41" s="29"/>
      <c r="E41" s="29" t="s">
        <v>90</v>
      </c>
      <c r="F41" s="31">
        <f>SUM(F4:F40)</f>
        <v>40033.319444444445</v>
      </c>
      <c r="H41" s="31">
        <f>SUM(H4:H40)</f>
        <v>91184.961805555562</v>
      </c>
    </row>
    <row r="42" spans="1:8" x14ac:dyDescent="0.2">
      <c r="F42" s="48"/>
    </row>
    <row r="43" spans="1:8" x14ac:dyDescent="0.2">
      <c r="E43" t="s">
        <v>91</v>
      </c>
      <c r="F43" s="31">
        <f>F41*12</f>
        <v>480399.83333333337</v>
      </c>
      <c r="H43" s="31">
        <f>H41*12</f>
        <v>1094219.5416666667</v>
      </c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A8CE-66E3-476C-A5EC-0F0B6003D361}">
  <dimension ref="A1:H3"/>
  <sheetViews>
    <sheetView tabSelected="1" workbookViewId="0">
      <selection activeCell="F11" sqref="F11"/>
    </sheetView>
  </sheetViews>
  <sheetFormatPr baseColWidth="10" defaultColWidth="8.83203125" defaultRowHeight="15" x14ac:dyDescent="0.2"/>
  <cols>
    <col min="1" max="1" width="23.1640625" style="43" bestFit="1" customWidth="1"/>
    <col min="2" max="2" width="8.5" style="28" customWidth="1"/>
    <col min="3" max="3" width="5.5" style="28" customWidth="1"/>
    <col min="4" max="4" width="14.5" style="28" bestFit="1" customWidth="1"/>
    <col min="5" max="8" width="9.1640625" style="28"/>
  </cols>
  <sheetData>
    <row r="1" spans="1:4" x14ac:dyDescent="0.2">
      <c r="A1" s="43" t="s">
        <v>81</v>
      </c>
      <c r="B1" s="28" t="s">
        <v>82</v>
      </c>
      <c r="C1" s="28">
        <v>150</v>
      </c>
      <c r="D1" s="28">
        <v>1500</v>
      </c>
    </row>
    <row r="2" spans="1:4" x14ac:dyDescent="0.2">
      <c r="A2" s="43" t="s">
        <v>83</v>
      </c>
      <c r="B2" s="28" t="s">
        <v>82</v>
      </c>
      <c r="C2" s="28">
        <v>150</v>
      </c>
      <c r="D2" s="28" t="s">
        <v>84</v>
      </c>
    </row>
    <row r="3" spans="1:4" x14ac:dyDescent="0.2">
      <c r="A3" s="43" t="s">
        <v>85</v>
      </c>
      <c r="D3" s="28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393B32AA3AA43BF38F5186C507B3C" ma:contentTypeVersion="13" ma:contentTypeDescription="Create a new document." ma:contentTypeScope="" ma:versionID="8593c28dfdaf61f3c80710de9a33c02b">
  <xsd:schema xmlns:xsd="http://www.w3.org/2001/XMLSchema" xmlns:xs="http://www.w3.org/2001/XMLSchema" xmlns:p="http://schemas.microsoft.com/office/2006/metadata/properties" xmlns:ns3="9029398a-07e3-4482-acb8-2149a3c901f2" xmlns:ns4="4ad4a2b6-1b95-4c03-b4e1-87f2c42bbbc0" targetNamespace="http://schemas.microsoft.com/office/2006/metadata/properties" ma:root="true" ma:fieldsID="ba2932db769ca8da539e366375b48f6c" ns3:_="" ns4:_="">
    <xsd:import namespace="9029398a-07e3-4482-acb8-2149a3c901f2"/>
    <xsd:import namespace="4ad4a2b6-1b95-4c03-b4e1-87f2c42bbbc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398a-07e3-4482-acb8-2149a3c901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4a2b6-1b95-4c03-b4e1-87f2c42bb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C07E4-165C-44F9-849D-C0ABAC7B9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9398a-07e3-4482-acb8-2149a3c901f2"/>
    <ds:schemaRef ds:uri="4ad4a2b6-1b95-4c03-b4e1-87f2c42bb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0B808-B5EA-4ACA-B1D1-A9548470E44E}">
  <ds:schemaRefs>
    <ds:schemaRef ds:uri="9029398a-07e3-4482-acb8-2149a3c901f2"/>
    <ds:schemaRef ds:uri="4ad4a2b6-1b95-4c03-b4e1-87f2c42bbbc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1D7A86-ADBA-4E80-BFA4-6397F047EE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</vt:lpstr>
      <vt:lpstr>Projection</vt:lpstr>
      <vt:lpstr>Detail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 Berlin</dc:creator>
  <cp:lastModifiedBy>Jane Muir</cp:lastModifiedBy>
  <cp:lastPrinted>2024-05-16T20:12:12Z</cp:lastPrinted>
  <dcterms:created xsi:type="dcterms:W3CDTF">2021-02-08T07:32:58Z</dcterms:created>
  <dcterms:modified xsi:type="dcterms:W3CDTF">2024-07-19T17:23:01Z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0x0101002B4393B32AA3AA43BF38F5186C507B3C</vt:lpwstr>
  </property>
</Properties>
</file>